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PO KONKURSY\wg\"/>
    </mc:Choice>
  </mc:AlternateContent>
  <bookViews>
    <workbookView xWindow="0" yWindow="0" windowWidth="23040" windowHeight="8832"/>
  </bookViews>
  <sheets>
    <sheet name="PV" sheetId="1" r:id="rId1"/>
    <sheet name="POMPA CIEPŁA" sheetId="2" r:id="rId2"/>
    <sheet name="SOLAR" sheetId="3" r:id="rId3"/>
    <sheet name="KOCIOŁ NA BIOMASĘ" sheetId="4" r:id="rId4"/>
  </sheets>
  <definedNames>
    <definedName name="_xlnm.Print_Area" localSheetId="3">'KOCIOŁ NA BIOMASĘ'!$A$1:$F$25</definedName>
    <definedName name="_xlnm.Print_Area" localSheetId="1">'POMPA CIEPŁA'!$A$1:$F$34</definedName>
    <definedName name="_xlnm.Print_Area" localSheetId="2">SOLAR!$A$1:$G$15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D20" i="4" l="1"/>
  <c r="D10" i="2"/>
  <c r="S15" i="4" l="1"/>
  <c r="S14" i="4"/>
  <c r="S13" i="4"/>
  <c r="S12" i="4"/>
  <c r="D9" i="4"/>
  <c r="D10" i="4" s="1"/>
  <c r="D8" i="4"/>
  <c r="D19" i="4" s="1"/>
  <c r="E14" i="3"/>
  <c r="D10" i="3"/>
  <c r="D14" i="3" s="1"/>
  <c r="D5" i="3"/>
  <c r="D6" i="3" s="1"/>
  <c r="D7" i="3" s="1"/>
  <c r="S14" i="2"/>
  <c r="S13" i="2"/>
  <c r="S12" i="2"/>
  <c r="S15" i="2"/>
  <c r="D9" i="2"/>
  <c r="D8" i="2"/>
  <c r="D11" i="2" l="1"/>
  <c r="D12" i="2" s="1"/>
  <c r="D19" i="2"/>
  <c r="D20" i="2" s="1"/>
  <c r="D11" i="4"/>
  <c r="D12" i="4" s="1"/>
  <c r="D11" i="3"/>
  <c r="D8" i="3"/>
  <c r="B19" i="1"/>
  <c r="B6" i="1"/>
  <c r="B13" i="1"/>
  <c r="D24" i="2" l="1"/>
  <c r="D14" i="2"/>
  <c r="D15" i="2"/>
  <c r="D14" i="4"/>
  <c r="D15" i="4"/>
  <c r="D15" i="3"/>
  <c r="E15" i="3" s="1"/>
  <c r="D13" i="2"/>
  <c r="B20" i="1"/>
  <c r="B7" i="1"/>
  <c r="B8" i="1" s="1"/>
  <c r="B9" i="1" s="1"/>
  <c r="B10" i="1" s="1"/>
  <c r="D25" i="2" l="1"/>
  <c r="D16" i="2"/>
  <c r="E20" i="2" s="1"/>
  <c r="B14" i="1"/>
  <c r="B16" i="1" s="1"/>
  <c r="D16" i="4"/>
  <c r="C19" i="1" l="1"/>
  <c r="C20" i="1"/>
  <c r="E19" i="4"/>
  <c r="E20" i="4"/>
  <c r="E19" i="2"/>
</calcChain>
</file>

<file path=xl/comments1.xml><?xml version="1.0" encoding="utf-8"?>
<comments xmlns="http://schemas.openxmlformats.org/spreadsheetml/2006/main">
  <authors>
    <author>Dominika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Dominika:</t>
        </r>
        <r>
          <rPr>
            <sz val="9"/>
            <color indexed="81"/>
            <rFont val="Tahoma"/>
            <charset val="1"/>
          </rPr>
          <t xml:space="preserve">
Wartość liczona w godzinach, określa czas pracy pompy ciepła w skali roku. W zależności od rodzaju pompy ciepła, wartość ta najczęściej zawiera się w przedziale: 1800 ÷ 2800 h/rok, a do obliczeń przyjmowane jest 2300 godzin w ciągu roku.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Dominika:</t>
        </r>
        <r>
          <rPr>
            <sz val="9"/>
            <color indexed="81"/>
            <rFont val="Tahoma"/>
            <family val="2"/>
            <charset val="238"/>
          </rPr>
          <t xml:space="preserve">
artość dobowego zużycia ciepłej wody, przez każdą osobę w gospodarstwie domowym [l/os.]. Polskie normy przewidują zużycie ciepłej wody na poziome 50l/os na dobę. Należy pamiętać, iż rzeczywiste zużycie ciepłej wody użytkowej jest uwarunkowane od indywidualnych potrzeb każdego człowieka.</t>
        </r>
      </text>
    </comment>
  </commentList>
</comments>
</file>

<file path=xl/comments2.xml><?xml version="1.0" encoding="utf-8"?>
<comments xmlns="http://schemas.openxmlformats.org/spreadsheetml/2006/main">
  <authors>
    <author>Dominika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Dominika:</t>
        </r>
        <r>
          <rPr>
            <sz val="9"/>
            <color indexed="81"/>
            <rFont val="Tahoma"/>
            <charset val="1"/>
          </rPr>
          <t xml:space="preserve">
Wartość liczona w godzinach, określa czas pracy pompy ciepła w skali roku. W zależności od rodzaju pompy ciepła, wartość ta najczęściej zawiera się w przedziale: 1800 ÷ 2800 h/rok, a do obliczeń przyjmowane jest 2300 godzin w ciągu roku.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Dominika:</t>
        </r>
        <r>
          <rPr>
            <sz val="9"/>
            <color indexed="81"/>
            <rFont val="Tahoma"/>
            <family val="2"/>
            <charset val="238"/>
          </rPr>
          <t xml:space="preserve">
artość dobowego zużycia ciepłej wody, przez każdą osobę w gospodarstwie domowym [l/os.]. Polskie normy przewidują zużycie ciepłej wody na poziome 50l/os na dobę. Należy pamiętać, iż rzeczywiste zużycie ciepłej wody użytkowej jest uwarunkowane od indywidualnych potrzeb każdego człowieka.</t>
        </r>
      </text>
    </comment>
  </commentList>
</comments>
</file>

<file path=xl/comments3.xml><?xml version="1.0" encoding="utf-8"?>
<comments xmlns="http://schemas.openxmlformats.org/spreadsheetml/2006/main">
  <authors>
    <author>Dominika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Dominika:</t>
        </r>
        <r>
          <rPr>
            <sz val="9"/>
            <color indexed="81"/>
            <rFont val="Tahoma"/>
            <charset val="1"/>
          </rPr>
          <t xml:space="preserve">
Wartość liczona w godzinach, określa czas pracy pompy ciepła w skali roku. W zależności od rodzaju pompy ciepła, wartość ta najczęściej zawiera się w przedziale: 1800 ÷ 2800 h/rok, a do obliczeń przyjmowane jest 2300 godzin w ciągu roku.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Dominika:</t>
        </r>
        <r>
          <rPr>
            <sz val="9"/>
            <color indexed="81"/>
            <rFont val="Tahoma"/>
            <family val="2"/>
            <charset val="238"/>
          </rPr>
          <t xml:space="preserve">
artość dobowego zużycia ciepłej wody, przez każdą osobę w gospodarstwie domowym [l/os.]. Polskie normy przewidują zużycie ciepłej wody na poziome 50l/os na dobę. Należy pamiętać, iż rzeczywiste zużycie ciepłej wody użytkowej jest uwarunkowane od indywidualnych potrzeb każdego człowieka.</t>
        </r>
      </text>
    </comment>
  </commentList>
</comments>
</file>

<file path=xl/sharedStrings.xml><?xml version="1.0" encoding="utf-8"?>
<sst xmlns="http://schemas.openxmlformats.org/spreadsheetml/2006/main" count="154" uniqueCount="67">
  <si>
    <t>Opust 80%</t>
  </si>
  <si>
    <t>Jednostka</t>
  </si>
  <si>
    <t>Zużycie energii w budynku / rok</t>
  </si>
  <si>
    <t>kWh</t>
  </si>
  <si>
    <t>Produkcja energii przez instalację PV / rok</t>
  </si>
  <si>
    <t>Bieżąca konsumpcja energii/ rok</t>
  </si>
  <si>
    <t>Energia oddana do sieci / rok</t>
  </si>
  <si>
    <t>„Opust” na odbiór energii (80% energii wprowadzonej do sieci)/ rok</t>
  </si>
  <si>
    <t>Zakup energii po wyczerpaniu opustu / rok</t>
  </si>
  <si>
    <t>zł</t>
  </si>
  <si>
    <t>Rachunek za energię i dystrybucję w pierwszym roku po montażu instalacji PV (rocznie)</t>
  </si>
  <si>
    <t>Pozostałe opłaty nieobjęte systemem opustów po montażu instalacji PV (rocznie)</t>
  </si>
  <si>
    <t>Moc instalacji PV [kWp]:</t>
  </si>
  <si>
    <t>Zapotrzebowanie energetyczne budynku [kWh]:</t>
  </si>
  <si>
    <t>Dzięki ustawie o OZE można również rozwiązać problem zasilania ogrzewania z instalacji fotowoltaicznej – w przypadku instalacji fotowoltaicznej w miesiącach zimowych produkcja jest mniejsza a zapotrzebowanie na energię do grzania największe. Współczynnik 0,8 pozwoli na wykorzystanie nadprodukcji i odbiór w miesiącach zimowych przez co odpowiednio dobierając moc instalacji fotowoltaicznej i wykorzystując rozwiązania oparte na np. DOGRZEWANIU ZASOBNIKA WODNEGO DODATKOWĄ GRZAŁKĄ zintegrowaną z systemem fotowoltaicznym, obniżamy koszty również ogrzewania wody, co jest alternatywą dla instalacji solarnych.</t>
  </si>
  <si>
    <t>Rachunek za prąd przed montażem instalacji PV (roczny):</t>
  </si>
  <si>
    <t>Oszczędności w pierwszym roku:</t>
  </si>
  <si>
    <t>Zakładając, że opłata za energię czynną to 0,30 zł/kWh brutto a opłata dystrybucyjna to 0,34 zł/kWh brutto, łączny koszt opłat stałych nieobjętych systemem opustów to 190 zł/rok, rachunki będą wyglądać następująco:</t>
  </si>
  <si>
    <t>KOSZT INSTALACJI BEZ DOTACJI:</t>
  </si>
  <si>
    <t>KOSZT INSTALACJI Z DOTACJĄ:</t>
  </si>
  <si>
    <t>Okres zwrotu [lata]:</t>
  </si>
  <si>
    <t>Ekonomika instalacja szacunkowa:</t>
  </si>
  <si>
    <t>&lt;-WYPEŁNIJ</t>
  </si>
  <si>
    <t>Liczba godzin ogrzewania:</t>
  </si>
  <si>
    <t>h</t>
  </si>
  <si>
    <t>Powierzchnia ogrzewana:</t>
  </si>
  <si>
    <t>m2</t>
  </si>
  <si>
    <t>W/m2</t>
  </si>
  <si>
    <t>Wskaźnikowe zapotrzebowanie na ciepło*:</t>
  </si>
  <si>
    <t>kW</t>
  </si>
  <si>
    <t>Zużycie CWU:</t>
  </si>
  <si>
    <t>l</t>
  </si>
  <si>
    <t>Liczba osób w budynku korzystająca z CWU:</t>
  </si>
  <si>
    <t>os.</t>
  </si>
  <si>
    <t>Obliczone zapotrzebowanie na moc do ogrzewania:</t>
  </si>
  <si>
    <t>Roczne zużycie ciepłej wody:</t>
  </si>
  <si>
    <t>Roczne zużycie energii do ogrzania ciepłej wody:</t>
  </si>
  <si>
    <t>Roczne zużycie energii na ogrzewanie:</t>
  </si>
  <si>
    <t>Całkowite roczne zużycie energii:</t>
  </si>
  <si>
    <t>Zużywany nośnik energii:</t>
  </si>
  <si>
    <t>energia elektryczna</t>
  </si>
  <si>
    <t>gaz ziemny</t>
  </si>
  <si>
    <t>olej opałowy</t>
  </si>
  <si>
    <t>biomasa-pelety</t>
  </si>
  <si>
    <t>WO</t>
  </si>
  <si>
    <t>MJ/kg</t>
  </si>
  <si>
    <t>kWh/kg</t>
  </si>
  <si>
    <t>LPG</t>
  </si>
  <si>
    <t>Koszty zużycia energii na CO i CWU obecnie:</t>
  </si>
  <si>
    <t>PLN/rok</t>
  </si>
  <si>
    <t>Koszty zużycia energii na CO i CWU z pompą ciepła:</t>
  </si>
  <si>
    <t>COP gruntowej pompy ciepła:</t>
  </si>
  <si>
    <t>Oszczędność:</t>
  </si>
  <si>
    <t>GRUNTOWA POMPA CIEPŁA:</t>
  </si>
  <si>
    <t>Ekonomika instalacji szacunkowa:</t>
  </si>
  <si>
    <t>Okres zwrotu:</t>
  </si>
  <si>
    <t>KOSZT INSTALACJI BEZ DOTACJI [PLN]:</t>
  </si>
  <si>
    <t>KOSZT INSTALACJI Z DOTACJĄ [PLN]:</t>
  </si>
  <si>
    <t>Koszty zużycia energii na CO i CWU z pompą ciepła powietrzną:</t>
  </si>
  <si>
    <t>**POWIETRZNA POMPA CIEPŁA:</t>
  </si>
  <si>
    <t>*:</t>
  </si>
  <si>
    <t>l/os.</t>
  </si>
  <si>
    <t>Liczba płyt solarnych:</t>
  </si>
  <si>
    <t>Zbiornik do CWU dwuwężownicowy:</t>
  </si>
  <si>
    <t>szt.</t>
  </si>
  <si>
    <t>węgiel kamienny</t>
  </si>
  <si>
    <t>Koszty zużycia energii na CO i CWU po montażu kotła: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</si>
</sst>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b/>
      <sz val="12"/>
      <color rgb="FF22222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2" xfId="0" applyFont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 hidden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44" fontId="4" fillId="2" borderId="2" xfId="1" applyFont="1" applyFill="1" applyBorder="1" applyAlignment="1" applyProtection="1">
      <alignment vertical="center" wrapText="1"/>
      <protection locked="0" hidden="1"/>
    </xf>
    <xf numFmtId="1" fontId="17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17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right"/>
      <protection locked="0" hidden="1"/>
    </xf>
    <xf numFmtId="0" fontId="13" fillId="0" borderId="2" xfId="0" applyFont="1" applyBorder="1" applyProtection="1">
      <protection locked="0"/>
    </xf>
    <xf numFmtId="0" fontId="10" fillId="5" borderId="0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5" fillId="5" borderId="0" xfId="0" applyFont="1" applyFill="1" applyBorder="1" applyProtection="1"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3" fillId="4" borderId="0" xfId="0" applyFont="1" applyFill="1" applyProtection="1">
      <protection locked="0"/>
    </xf>
    <xf numFmtId="0" fontId="13" fillId="4" borderId="2" xfId="0" applyFont="1" applyFill="1" applyBorder="1" applyAlignment="1" applyProtection="1">
      <alignment horizontal="right"/>
      <protection locked="0"/>
    </xf>
    <xf numFmtId="0" fontId="13" fillId="4" borderId="2" xfId="0" applyFont="1" applyFill="1" applyBorder="1" applyProtection="1"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2" fontId="13" fillId="0" borderId="2" xfId="0" applyNumberFormat="1" applyFont="1" applyBorder="1" applyAlignment="1" applyProtection="1">
      <alignment horizontal="right"/>
      <protection locked="0" hidden="1"/>
    </xf>
    <xf numFmtId="0" fontId="10" fillId="0" borderId="0" xfId="0" applyFont="1" applyBorder="1" applyProtection="1"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left"/>
      <protection locked="0"/>
    </xf>
    <xf numFmtId="2" fontId="13" fillId="0" borderId="2" xfId="0" applyNumberFormat="1" applyFont="1" applyBorder="1" applyProtection="1">
      <protection locked="0" hidden="1"/>
    </xf>
    <xf numFmtId="1" fontId="13" fillId="0" borderId="2" xfId="0" applyNumberFormat="1" applyFont="1" applyBorder="1" applyAlignment="1" applyProtection="1">
      <alignment horizontal="left"/>
      <protection locked="0" hidden="1"/>
    </xf>
    <xf numFmtId="0" fontId="10" fillId="4" borderId="2" xfId="0" applyFont="1" applyFill="1" applyBorder="1" applyProtection="1"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2" fontId="13" fillId="0" borderId="2" xfId="0" applyNumberFormat="1" applyFont="1" applyBorder="1" applyAlignment="1" applyProtection="1">
      <alignment horizontal="right" wrapText="1"/>
      <protection locked="0" hidden="1"/>
    </xf>
    <xf numFmtId="0" fontId="0" fillId="0" borderId="0" xfId="0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2" fillId="5" borderId="0" xfId="0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</xdr:colOff>
      <xdr:row>2</xdr:row>
      <xdr:rowOff>24700</xdr:rowOff>
    </xdr:from>
    <xdr:to>
      <xdr:col>15</xdr:col>
      <xdr:colOff>327660</xdr:colOff>
      <xdr:row>24</xdr:row>
      <xdr:rowOff>276860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375220"/>
          <a:ext cx="5181600" cy="418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</xdr:colOff>
      <xdr:row>26</xdr:row>
      <xdr:rowOff>22860</xdr:rowOff>
    </xdr:from>
    <xdr:to>
      <xdr:col>13</xdr:col>
      <xdr:colOff>533400</xdr:colOff>
      <xdr:row>33</xdr:row>
      <xdr:rowOff>152400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4579620"/>
          <a:ext cx="4168140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594360</xdr:colOff>
      <xdr:row>1</xdr:row>
      <xdr:rowOff>177100</xdr:rowOff>
    </xdr:from>
    <xdr:to>
      <xdr:col>15</xdr:col>
      <xdr:colOff>289560</xdr:colOff>
      <xdr:row>25</xdr:row>
      <xdr:rowOff>56515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0840" y="352360"/>
          <a:ext cx="5181600" cy="408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213360</xdr:colOff>
      <xdr:row>1</xdr:row>
      <xdr:rowOff>114300</xdr:rowOff>
    </xdr:from>
    <xdr:to>
      <xdr:col>21</xdr:col>
      <xdr:colOff>419100</xdr:colOff>
      <xdr:row>8</xdr:row>
      <xdr:rowOff>51098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6240" y="289560"/>
          <a:ext cx="3863340" cy="1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BreakPreview" zoomScaleNormal="100" zoomScaleSheetLayoutView="100" workbookViewId="0">
      <selection activeCell="E9" sqref="E9"/>
    </sheetView>
  </sheetViews>
  <sheetFormatPr defaultRowHeight="18.600000000000001" customHeight="1" x14ac:dyDescent="0.3"/>
  <cols>
    <col min="1" max="1" width="48.21875" style="5" customWidth="1"/>
    <col min="2" max="2" width="14.6640625" style="5" customWidth="1"/>
    <col min="3" max="3" width="16.109375" style="5" customWidth="1"/>
    <col min="4" max="16384" width="8.88671875" style="5"/>
  </cols>
  <sheetData>
    <row r="1" spans="1:4" ht="18.600000000000001" customHeight="1" x14ac:dyDescent="0.3">
      <c r="A1" s="3" t="s">
        <v>13</v>
      </c>
      <c r="B1" s="4">
        <v>3500</v>
      </c>
      <c r="C1" s="4" t="s">
        <v>22</v>
      </c>
    </row>
    <row r="2" spans="1:4" ht="18.600000000000001" customHeight="1" x14ac:dyDescent="0.3">
      <c r="A2" s="3" t="s">
        <v>12</v>
      </c>
      <c r="B2" s="4">
        <v>3.6</v>
      </c>
      <c r="C2" s="4" t="s">
        <v>22</v>
      </c>
    </row>
    <row r="4" spans="1:4" ht="18.600000000000001" customHeight="1" x14ac:dyDescent="0.3">
      <c r="B4" s="6" t="s">
        <v>0</v>
      </c>
      <c r="C4" s="6" t="s">
        <v>1</v>
      </c>
      <c r="D4" s="1"/>
    </row>
    <row r="5" spans="1:4" ht="18.600000000000001" customHeight="1" x14ac:dyDescent="0.3">
      <c r="A5" s="7" t="s">
        <v>2</v>
      </c>
      <c r="B5" s="2">
        <f>B1</f>
        <v>3500</v>
      </c>
      <c r="C5" s="8" t="s">
        <v>3</v>
      </c>
    </row>
    <row r="6" spans="1:4" ht="18.600000000000001" customHeight="1" x14ac:dyDescent="0.3">
      <c r="A6" s="7" t="s">
        <v>4</v>
      </c>
      <c r="B6" s="2">
        <f>B2*800</f>
        <v>2880</v>
      </c>
      <c r="C6" s="8" t="s">
        <v>3</v>
      </c>
    </row>
    <row r="7" spans="1:4" ht="18.600000000000001" customHeight="1" x14ac:dyDescent="0.3">
      <c r="A7" s="7" t="s">
        <v>5</v>
      </c>
      <c r="B7" s="2">
        <f>0.3*B5</f>
        <v>1050</v>
      </c>
      <c r="C7" s="8" t="s">
        <v>3</v>
      </c>
    </row>
    <row r="8" spans="1:4" ht="18.600000000000001" customHeight="1" x14ac:dyDescent="0.3">
      <c r="A8" s="7" t="s">
        <v>6</v>
      </c>
      <c r="B8" s="2">
        <f>B6-B7</f>
        <v>1830</v>
      </c>
      <c r="C8" s="8" t="s">
        <v>3</v>
      </c>
    </row>
    <row r="9" spans="1:4" ht="45" customHeight="1" x14ac:dyDescent="0.3">
      <c r="A9" s="7" t="s">
        <v>7</v>
      </c>
      <c r="B9" s="2">
        <f>IF(B2&lt;=10,0.8*B8,0.7*B8)</f>
        <v>1464</v>
      </c>
      <c r="C9" s="8" t="s">
        <v>3</v>
      </c>
    </row>
    <row r="10" spans="1:4" ht="18.600000000000001" customHeight="1" x14ac:dyDescent="0.3">
      <c r="A10" s="7" t="s">
        <v>8</v>
      </c>
      <c r="B10" s="2">
        <f>IF((B5-B7-B9)&gt;=0,(B5-B7-B9),0)</f>
        <v>986</v>
      </c>
      <c r="C10" s="8" t="s">
        <v>3</v>
      </c>
    </row>
    <row r="11" spans="1:4" ht="18.600000000000001" customHeight="1" x14ac:dyDescent="0.3">
      <c r="A11" s="9"/>
      <c r="B11" s="10"/>
      <c r="C11" s="10"/>
    </row>
    <row r="12" spans="1:4" ht="54.6" customHeight="1" x14ac:dyDescent="0.3">
      <c r="A12" s="11" t="s">
        <v>17</v>
      </c>
      <c r="B12" s="11"/>
      <c r="C12" s="11"/>
    </row>
    <row r="13" spans="1:4" ht="48.6" customHeight="1" x14ac:dyDescent="0.3">
      <c r="A13" s="12" t="s">
        <v>15</v>
      </c>
      <c r="B13" s="13">
        <f>0.64*B5</f>
        <v>2240</v>
      </c>
      <c r="C13" s="8" t="s">
        <v>9</v>
      </c>
    </row>
    <row r="14" spans="1:4" ht="31.2" customHeight="1" x14ac:dyDescent="0.3">
      <c r="A14" s="7" t="s">
        <v>10</v>
      </c>
      <c r="B14" s="14">
        <f>0.64*B10</f>
        <v>631.04</v>
      </c>
      <c r="C14" s="6" t="s">
        <v>9</v>
      </c>
    </row>
    <row r="15" spans="1:4" ht="36" customHeight="1" x14ac:dyDescent="0.3">
      <c r="A15" s="15" t="s">
        <v>11</v>
      </c>
      <c r="B15" s="16">
        <v>190</v>
      </c>
      <c r="C15" s="17" t="s">
        <v>9</v>
      </c>
    </row>
    <row r="16" spans="1:4" ht="18.600000000000001" customHeight="1" x14ac:dyDescent="0.3">
      <c r="A16" s="18" t="s">
        <v>16</v>
      </c>
      <c r="B16" s="19">
        <f>B13-B14-B15</f>
        <v>1418.96</v>
      </c>
      <c r="C16" s="20" t="s">
        <v>9</v>
      </c>
    </row>
    <row r="17" spans="1:3" ht="18.600000000000001" customHeight="1" x14ac:dyDescent="0.3">
      <c r="A17" s="21"/>
      <c r="B17" s="10"/>
      <c r="C17" s="10"/>
    </row>
    <row r="18" spans="1:3" ht="30.6" customHeight="1" x14ac:dyDescent="0.3">
      <c r="A18" s="9" t="s">
        <v>21</v>
      </c>
      <c r="B18" s="10"/>
      <c r="C18" s="20" t="s">
        <v>20</v>
      </c>
    </row>
    <row r="19" spans="1:3" ht="18.600000000000001" customHeight="1" x14ac:dyDescent="0.3">
      <c r="A19" s="18" t="s">
        <v>18</v>
      </c>
      <c r="B19" s="22">
        <f>6000*B2</f>
        <v>21600</v>
      </c>
      <c r="C19" s="23">
        <f>B19/B16</f>
        <v>15.222416417658003</v>
      </c>
    </row>
    <row r="20" spans="1:3" ht="18.600000000000001" customHeight="1" x14ac:dyDescent="0.3">
      <c r="A20" s="18" t="s">
        <v>19</v>
      </c>
      <c r="B20" s="22">
        <f>0.15*B19</f>
        <v>3240</v>
      </c>
      <c r="C20" s="24">
        <f>B20/B16</f>
        <v>2.2833624626487006</v>
      </c>
    </row>
    <row r="21" spans="1:3" ht="18.600000000000001" customHeight="1" x14ac:dyDescent="0.3">
      <c r="A21" s="21"/>
      <c r="B21" s="10"/>
      <c r="C21" s="10"/>
    </row>
    <row r="22" spans="1:3" ht="154.19999999999999" customHeight="1" x14ac:dyDescent="0.3">
      <c r="A22" s="25" t="s">
        <v>14</v>
      </c>
      <c r="B22" s="25"/>
      <c r="C22" s="25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">
    <mergeCell ref="A12:C12"/>
    <mergeCell ref="A22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"/>
  <sheetViews>
    <sheetView view="pageBreakPreview" zoomScale="60" zoomScaleNormal="100" workbookViewId="0">
      <selection activeCell="D3" sqref="D3"/>
    </sheetView>
  </sheetViews>
  <sheetFormatPr defaultRowHeight="13.8" x14ac:dyDescent="0.3"/>
  <cols>
    <col min="1" max="2" width="8.88671875" style="31"/>
    <col min="3" max="3" width="32.5546875" style="31" customWidth="1"/>
    <col min="4" max="4" width="10.109375" style="31" customWidth="1"/>
    <col min="5" max="5" width="8.44140625" style="31" customWidth="1"/>
    <col min="6" max="6" width="16.109375" style="30" customWidth="1"/>
    <col min="7" max="16384" width="8.88671875" style="31"/>
  </cols>
  <sheetData>
    <row r="1" spans="1:19" x14ac:dyDescent="0.3">
      <c r="A1" s="26" t="s">
        <v>23</v>
      </c>
      <c r="B1" s="26"/>
      <c r="C1" s="27"/>
      <c r="D1" s="28">
        <v>2300</v>
      </c>
      <c r="E1" s="29" t="s">
        <v>24</v>
      </c>
    </row>
    <row r="2" spans="1:19" ht="15.6" x14ac:dyDescent="0.3">
      <c r="A2" s="26" t="s">
        <v>25</v>
      </c>
      <c r="B2" s="26"/>
      <c r="C2" s="27"/>
      <c r="D2" s="32">
        <v>250</v>
      </c>
      <c r="E2" s="29" t="s">
        <v>26</v>
      </c>
      <c r="F2" s="33" t="s">
        <v>22</v>
      </c>
      <c r="H2" s="31" t="s">
        <v>60</v>
      </c>
    </row>
    <row r="3" spans="1:19" ht="15.6" x14ac:dyDescent="0.3">
      <c r="A3" s="26" t="s">
        <v>28</v>
      </c>
      <c r="B3" s="26"/>
      <c r="C3" s="27"/>
      <c r="D3" s="32">
        <v>100</v>
      </c>
      <c r="E3" s="29" t="s">
        <v>27</v>
      </c>
      <c r="F3" s="33" t="s">
        <v>22</v>
      </c>
    </row>
    <row r="4" spans="1:19" x14ac:dyDescent="0.3">
      <c r="A4" s="26" t="s">
        <v>30</v>
      </c>
      <c r="B4" s="26"/>
      <c r="C4" s="27"/>
      <c r="D4" s="28">
        <v>50</v>
      </c>
      <c r="E4" s="29" t="s">
        <v>61</v>
      </c>
    </row>
    <row r="5" spans="1:19" ht="15.6" x14ac:dyDescent="0.3">
      <c r="A5" s="26" t="s">
        <v>32</v>
      </c>
      <c r="B5" s="26"/>
      <c r="C5" s="27"/>
      <c r="D5" s="32">
        <v>3</v>
      </c>
      <c r="E5" s="29" t="s">
        <v>33</v>
      </c>
      <c r="F5" s="33" t="s">
        <v>22</v>
      </c>
    </row>
    <row r="6" spans="1:19" ht="15.6" x14ac:dyDescent="0.3">
      <c r="A6" s="26" t="s">
        <v>39</v>
      </c>
      <c r="B6" s="26"/>
      <c r="C6" s="27"/>
      <c r="D6" s="34" t="s">
        <v>43</v>
      </c>
      <c r="E6" s="34"/>
      <c r="F6" s="33" t="s">
        <v>22</v>
      </c>
    </row>
    <row r="7" spans="1:19" x14ac:dyDescent="0.3">
      <c r="A7" s="35" t="s">
        <v>53</v>
      </c>
      <c r="B7" s="35"/>
      <c r="C7" s="35"/>
      <c r="D7" s="36"/>
      <c r="E7" s="37"/>
    </row>
    <row r="8" spans="1:19" x14ac:dyDescent="0.3">
      <c r="A8" s="38" t="s">
        <v>34</v>
      </c>
      <c r="B8" s="39"/>
      <c r="C8" s="39"/>
      <c r="D8" s="28">
        <f>D2*D3*0.001</f>
        <v>25</v>
      </c>
      <c r="E8" s="29" t="s">
        <v>29</v>
      </c>
    </row>
    <row r="9" spans="1:19" x14ac:dyDescent="0.3">
      <c r="A9" s="38" t="s">
        <v>35</v>
      </c>
      <c r="B9" s="39"/>
      <c r="C9" s="39"/>
      <c r="D9" s="28">
        <f>D4*D5*365</f>
        <v>54750</v>
      </c>
      <c r="E9" s="29" t="s">
        <v>31</v>
      </c>
    </row>
    <row r="10" spans="1:19" x14ac:dyDescent="0.3">
      <c r="A10" s="38" t="s">
        <v>36</v>
      </c>
      <c r="B10" s="39"/>
      <c r="C10" s="39"/>
      <c r="D10" s="28">
        <f>ROUND((1.16*0.001*D9*40)/0.43,2)</f>
        <v>5907.91</v>
      </c>
      <c r="E10" s="29" t="s">
        <v>3</v>
      </c>
      <c r="P10" s="40"/>
      <c r="Q10" s="40" t="s">
        <v>44</v>
      </c>
      <c r="R10" s="40" t="s">
        <v>45</v>
      </c>
      <c r="S10" s="40" t="s">
        <v>46</v>
      </c>
    </row>
    <row r="11" spans="1:19" x14ac:dyDescent="0.3">
      <c r="A11" s="38" t="s">
        <v>37</v>
      </c>
      <c r="B11" s="39"/>
      <c r="C11" s="39"/>
      <c r="D11" s="28">
        <f>D8*D1</f>
        <v>57500</v>
      </c>
      <c r="E11" s="29" t="s">
        <v>3</v>
      </c>
      <c r="P11" s="40" t="s">
        <v>40</v>
      </c>
      <c r="Q11" s="40"/>
      <c r="R11" s="40"/>
      <c r="S11" s="40"/>
    </row>
    <row r="12" spans="1:19" x14ac:dyDescent="0.3">
      <c r="A12" s="38" t="s">
        <v>38</v>
      </c>
      <c r="B12" s="39"/>
      <c r="C12" s="39"/>
      <c r="D12" s="28">
        <f>D10+D11</f>
        <v>63407.91</v>
      </c>
      <c r="E12" s="29" t="s">
        <v>3</v>
      </c>
      <c r="P12" s="40" t="s">
        <v>47</v>
      </c>
      <c r="Q12" s="40"/>
      <c r="R12" s="40">
        <v>47.3</v>
      </c>
      <c r="S12" s="40">
        <f>R12*0.27778</f>
        <v>13.138994</v>
      </c>
    </row>
    <row r="13" spans="1:19" x14ac:dyDescent="0.3">
      <c r="A13" s="38" t="s">
        <v>51</v>
      </c>
      <c r="B13" s="39"/>
      <c r="C13" s="39"/>
      <c r="D13" s="28">
        <f>(D12/D1)/(0.25*(D12/D1))</f>
        <v>4</v>
      </c>
      <c r="E13" s="29"/>
      <c r="P13" s="40" t="s">
        <v>42</v>
      </c>
      <c r="Q13" s="40"/>
      <c r="R13" s="40">
        <v>40.4</v>
      </c>
      <c r="S13" s="40">
        <f>R13*0.27778</f>
        <v>11.222312000000001</v>
      </c>
    </row>
    <row r="14" spans="1:19" x14ac:dyDescent="0.3">
      <c r="A14" s="38" t="s">
        <v>48</v>
      </c>
      <c r="B14" s="39"/>
      <c r="C14" s="39"/>
      <c r="D14" s="41">
        <f>IF(D6="energia elektryczna",D12*0.44,(IF(D6="LPG",D12*0.716*10.76/S12,(IF(D6="olej opałowy",D12*0.716*3.84/S13,(IF(D6="gaz ziemny",D12*2.09*0.716/S14,D12*0.9/S15)))))))</f>
        <v>13169.229800007755</v>
      </c>
      <c r="E14" s="29" t="s">
        <v>49</v>
      </c>
      <c r="P14" s="40" t="s">
        <v>41</v>
      </c>
      <c r="Q14" s="40"/>
      <c r="R14" s="40">
        <v>48</v>
      </c>
      <c r="S14" s="40">
        <f>R14*0.27778</f>
        <v>13.333440000000001</v>
      </c>
    </row>
    <row r="15" spans="1:19" x14ac:dyDescent="0.3">
      <c r="A15" s="38" t="s">
        <v>50</v>
      </c>
      <c r="B15" s="39"/>
      <c r="C15" s="39"/>
      <c r="D15" s="41">
        <f>0.25*(D12*0.44)</f>
        <v>6974.8701000000001</v>
      </c>
      <c r="E15" s="29" t="s">
        <v>49</v>
      </c>
      <c r="P15" s="40" t="s">
        <v>43</v>
      </c>
      <c r="Q15" s="40"/>
      <c r="R15" s="40">
        <v>15.6</v>
      </c>
      <c r="S15" s="40">
        <f t="shared" ref="S15" si="0">R15*0.27778</f>
        <v>4.3333680000000001</v>
      </c>
    </row>
    <row r="16" spans="1:19" x14ac:dyDescent="0.3">
      <c r="A16" s="38" t="s">
        <v>52</v>
      </c>
      <c r="B16" s="39"/>
      <c r="C16" s="39"/>
      <c r="D16" s="41">
        <f>D14-D15</f>
        <v>6194.3597000077552</v>
      </c>
      <c r="E16" s="29" t="s">
        <v>49</v>
      </c>
      <c r="P16" s="40"/>
      <c r="Q16" s="40"/>
      <c r="R16" s="40"/>
      <c r="S16" s="40"/>
    </row>
    <row r="17" spans="1:5" x14ac:dyDescent="0.3">
      <c r="D17" s="42"/>
      <c r="E17" s="42"/>
    </row>
    <row r="18" spans="1:5" ht="14.4" customHeight="1" x14ac:dyDescent="0.3">
      <c r="A18" s="31" t="s">
        <v>54</v>
      </c>
      <c r="D18" s="43" t="s">
        <v>55</v>
      </c>
      <c r="E18" s="43"/>
    </row>
    <row r="19" spans="1:5" x14ac:dyDescent="0.3">
      <c r="A19" s="44" t="s">
        <v>56</v>
      </c>
      <c r="B19" s="44"/>
      <c r="C19" s="45"/>
      <c r="D19" s="46">
        <f>D8*5000+IF(D8&lt;=8,2*100*150,IF(10&lt;D8&lt;=12,3*100*150,4*100*150))</f>
        <v>185000</v>
      </c>
      <c r="E19" s="47">
        <f>D19/D16</f>
        <v>29.865879438639702</v>
      </c>
    </row>
    <row r="20" spans="1:5" x14ac:dyDescent="0.3">
      <c r="A20" s="44" t="s">
        <v>57</v>
      </c>
      <c r="B20" s="44"/>
      <c r="C20" s="45"/>
      <c r="D20" s="46">
        <f>0.15*D19</f>
        <v>27750</v>
      </c>
      <c r="E20" s="47">
        <f>D20/D16</f>
        <v>4.4798819157959553</v>
      </c>
    </row>
    <row r="21" spans="1:5" x14ac:dyDescent="0.3">
      <c r="D21" s="42"/>
      <c r="E21" s="42"/>
    </row>
    <row r="22" spans="1:5" x14ac:dyDescent="0.3">
      <c r="D22" s="42"/>
      <c r="E22" s="42"/>
    </row>
    <row r="23" spans="1:5" x14ac:dyDescent="0.3">
      <c r="A23" s="37" t="s">
        <v>59</v>
      </c>
      <c r="B23" s="37"/>
      <c r="C23" s="37"/>
      <c r="D23" s="48"/>
      <c r="E23" s="48"/>
    </row>
    <row r="24" spans="1:5" x14ac:dyDescent="0.3">
      <c r="A24" s="49" t="s">
        <v>58</v>
      </c>
      <c r="B24" s="50"/>
      <c r="C24" s="50"/>
      <c r="D24" s="41">
        <f>D12*0.44</f>
        <v>27899.4804</v>
      </c>
      <c r="E24" s="29" t="s">
        <v>49</v>
      </c>
    </row>
    <row r="25" spans="1:5" ht="27.6" x14ac:dyDescent="0.3">
      <c r="A25" s="49" t="s">
        <v>52</v>
      </c>
      <c r="B25" s="50"/>
      <c r="C25" s="50"/>
      <c r="D25" s="51" t="str">
        <f>IF((D14-D24)&lt;0,"instalacja nieopłacalna",D14-D24)</f>
        <v>instalacja nieopłacalna</v>
      </c>
      <c r="E25" s="29" t="s">
        <v>49</v>
      </c>
    </row>
  </sheetData>
  <sheetProtection sheet="1" objects="1" scenarios="1"/>
  <mergeCells count="21">
    <mergeCell ref="D18:E18"/>
    <mergeCell ref="A14:C14"/>
    <mergeCell ref="A15:C15"/>
    <mergeCell ref="A16:C16"/>
    <mergeCell ref="A6:C6"/>
    <mergeCell ref="A8:C8"/>
    <mergeCell ref="A9:C9"/>
    <mergeCell ref="A10:C10"/>
    <mergeCell ref="D6:E6"/>
    <mergeCell ref="A1:C1"/>
    <mergeCell ref="A2:C2"/>
    <mergeCell ref="A3:C3"/>
    <mergeCell ref="A4:C4"/>
    <mergeCell ref="A5:C5"/>
    <mergeCell ref="A25:C25"/>
    <mergeCell ref="A11:C11"/>
    <mergeCell ref="A12:C12"/>
    <mergeCell ref="A13:C13"/>
    <mergeCell ref="A19:C19"/>
    <mergeCell ref="A20:C20"/>
    <mergeCell ref="A24:C24"/>
  </mergeCells>
  <dataValidations count="1">
    <dataValidation type="list" allowBlank="1" showInputMessage="1" showErrorMessage="1" sqref="D6">
      <formula1>$P$11:$P$15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view="pageBreakPreview" zoomScale="60" zoomScaleNormal="100" workbookViewId="0">
      <selection activeCell="I21" sqref="I21"/>
    </sheetView>
  </sheetViews>
  <sheetFormatPr defaultRowHeight="14.4" x14ac:dyDescent="0.3"/>
  <cols>
    <col min="1" max="2" width="8.88671875" style="52"/>
    <col min="3" max="3" width="27.5546875" style="52" customWidth="1"/>
    <col min="4" max="16384" width="8.88671875" style="52"/>
  </cols>
  <sheetData>
    <row r="1" spans="1:6" x14ac:dyDescent="0.3">
      <c r="A1" s="26" t="s">
        <v>23</v>
      </c>
      <c r="B1" s="26"/>
      <c r="C1" s="27"/>
      <c r="D1" s="28">
        <v>2300</v>
      </c>
      <c r="E1" s="29" t="s">
        <v>24</v>
      </c>
    </row>
    <row r="2" spans="1:6" x14ac:dyDescent="0.3">
      <c r="A2" s="26" t="s">
        <v>30</v>
      </c>
      <c r="B2" s="26"/>
      <c r="C2" s="27"/>
      <c r="D2" s="28">
        <v>50</v>
      </c>
      <c r="E2" s="29" t="s">
        <v>61</v>
      </c>
    </row>
    <row r="3" spans="1:6" ht="15.6" x14ac:dyDescent="0.3">
      <c r="A3" s="26" t="s">
        <v>32</v>
      </c>
      <c r="B3" s="26"/>
      <c r="C3" s="27"/>
      <c r="D3" s="32">
        <v>5</v>
      </c>
      <c r="E3" s="29" t="s">
        <v>33</v>
      </c>
      <c r="F3" s="33" t="s">
        <v>22</v>
      </c>
    </row>
    <row r="4" spans="1:6" x14ac:dyDescent="0.3">
      <c r="A4" s="35" t="s">
        <v>53</v>
      </c>
      <c r="B4" s="35"/>
      <c r="C4" s="35"/>
      <c r="D4" s="36"/>
      <c r="E4" s="37"/>
    </row>
    <row r="5" spans="1:6" x14ac:dyDescent="0.3">
      <c r="A5" s="38" t="s">
        <v>35</v>
      </c>
      <c r="B5" s="39"/>
      <c r="C5" s="39"/>
      <c r="D5" s="28">
        <f>D2*D3*365</f>
        <v>91250</v>
      </c>
      <c r="E5" s="29" t="s">
        <v>31</v>
      </c>
    </row>
    <row r="6" spans="1:6" x14ac:dyDescent="0.3">
      <c r="A6" s="38" t="s">
        <v>36</v>
      </c>
      <c r="B6" s="39"/>
      <c r="C6" s="39"/>
      <c r="D6" s="28">
        <f>1.16*0.001*D5*40</f>
        <v>4234</v>
      </c>
      <c r="E6" s="29" t="s">
        <v>3</v>
      </c>
    </row>
    <row r="7" spans="1:6" x14ac:dyDescent="0.3">
      <c r="A7" s="38" t="s">
        <v>37</v>
      </c>
      <c r="B7" s="39"/>
      <c r="C7" s="39"/>
      <c r="D7" s="28">
        <f>0.75*D6/0.25</f>
        <v>12702</v>
      </c>
      <c r="E7" s="29" t="s">
        <v>3</v>
      </c>
    </row>
    <row r="8" spans="1:6" x14ac:dyDescent="0.3">
      <c r="A8" s="38" t="s">
        <v>38</v>
      </c>
      <c r="B8" s="39"/>
      <c r="C8" s="39"/>
      <c r="D8" s="28">
        <f>D6+D7</f>
        <v>16936</v>
      </c>
      <c r="E8" s="29" t="s">
        <v>3</v>
      </c>
    </row>
    <row r="9" spans="1:6" x14ac:dyDescent="0.3">
      <c r="A9" s="53"/>
      <c r="B9" s="53"/>
      <c r="C9" s="53"/>
      <c r="D9" s="54"/>
      <c r="E9" s="55"/>
    </row>
    <row r="10" spans="1:6" x14ac:dyDescent="0.3">
      <c r="A10" s="38" t="s">
        <v>62</v>
      </c>
      <c r="B10" s="39"/>
      <c r="C10" s="56"/>
      <c r="D10" s="28">
        <f>IF(D3&lt;=3,2,IF(D3&lt;=6,3,4))</f>
        <v>3</v>
      </c>
      <c r="E10" s="29" t="s">
        <v>64</v>
      </c>
    </row>
    <row r="11" spans="1:6" x14ac:dyDescent="0.3">
      <c r="A11" s="38" t="s">
        <v>63</v>
      </c>
      <c r="B11" s="39"/>
      <c r="C11" s="56"/>
      <c r="D11" s="28">
        <f>D10*100</f>
        <v>300</v>
      </c>
      <c r="E11" s="29" t="s">
        <v>31</v>
      </c>
    </row>
    <row r="12" spans="1:6" x14ac:dyDescent="0.3">
      <c r="A12" s="31"/>
      <c r="B12" s="31"/>
      <c r="C12" s="31"/>
      <c r="D12" s="42"/>
      <c r="E12" s="42"/>
    </row>
    <row r="13" spans="1:6" x14ac:dyDescent="0.3">
      <c r="A13" s="31" t="s">
        <v>54</v>
      </c>
      <c r="B13" s="31"/>
      <c r="C13" s="31"/>
      <c r="D13" s="43" t="s">
        <v>55</v>
      </c>
      <c r="E13" s="43"/>
    </row>
    <row r="14" spans="1:6" x14ac:dyDescent="0.3">
      <c r="A14" s="44" t="s">
        <v>56</v>
      </c>
      <c r="B14" s="44"/>
      <c r="C14" s="45"/>
      <c r="D14" s="46">
        <f>IF(D10=2,8000,IF(D10=3,10000,12000))</f>
        <v>10000</v>
      </c>
      <c r="E14" s="47">
        <f>D14/($D$6*0.5)</f>
        <v>4.7236655644780345</v>
      </c>
    </row>
    <row r="15" spans="1:6" x14ac:dyDescent="0.3">
      <c r="A15" s="44" t="s">
        <v>57</v>
      </c>
      <c r="B15" s="44"/>
      <c r="C15" s="45"/>
      <c r="D15" s="46">
        <f>0.15*D14</f>
        <v>1500</v>
      </c>
      <c r="E15" s="47">
        <f>D15/($D$6*0.5)</f>
        <v>0.70854983467170529</v>
      </c>
    </row>
  </sheetData>
  <sheetProtection sheet="1" objects="1" scenarios="1"/>
  <mergeCells count="12">
    <mergeCell ref="A15:C15"/>
    <mergeCell ref="A10:C10"/>
    <mergeCell ref="A11:C11"/>
    <mergeCell ref="D13:E13"/>
    <mergeCell ref="A14:C14"/>
    <mergeCell ref="A5:C5"/>
    <mergeCell ref="A6:C6"/>
    <mergeCell ref="A7:C7"/>
    <mergeCell ref="A8:C8"/>
    <mergeCell ref="A1:C1"/>
    <mergeCell ref="A2:C2"/>
    <mergeCell ref="A3:C3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"/>
  <sheetViews>
    <sheetView view="pageBreakPreview" zoomScale="80" zoomScaleNormal="100" zoomScaleSheetLayoutView="80" workbookViewId="0">
      <selection activeCell="D5" sqref="D5"/>
    </sheetView>
  </sheetViews>
  <sheetFormatPr defaultRowHeight="13.8" x14ac:dyDescent="0.3"/>
  <cols>
    <col min="1" max="2" width="8.88671875" style="31"/>
    <col min="3" max="3" width="24.77734375" style="31" customWidth="1"/>
    <col min="4" max="4" width="10.6640625" style="31" customWidth="1"/>
    <col min="5" max="5" width="10.5546875" style="31" customWidth="1"/>
    <col min="6" max="6" width="13.6640625" style="57" customWidth="1"/>
    <col min="7" max="13" width="8.88671875" style="31"/>
    <col min="14" max="19" width="8.88671875" style="40"/>
    <col min="20" max="16384" width="8.88671875" style="31"/>
  </cols>
  <sheetData>
    <row r="1" spans="1:19" x14ac:dyDescent="0.3">
      <c r="A1" s="26" t="s">
        <v>23</v>
      </c>
      <c r="B1" s="26"/>
      <c r="C1" s="27"/>
      <c r="D1" s="28">
        <v>2300</v>
      </c>
      <c r="E1" s="29" t="s">
        <v>24</v>
      </c>
    </row>
    <row r="2" spans="1:19" ht="15.6" x14ac:dyDescent="0.3">
      <c r="A2" s="26" t="s">
        <v>25</v>
      </c>
      <c r="B2" s="26"/>
      <c r="C2" s="27"/>
      <c r="D2" s="32">
        <v>200</v>
      </c>
      <c r="E2" s="29" t="s">
        <v>26</v>
      </c>
      <c r="F2" s="33" t="s">
        <v>22</v>
      </c>
      <c r="H2" s="31" t="s">
        <v>60</v>
      </c>
    </row>
    <row r="3" spans="1:19" ht="15.6" x14ac:dyDescent="0.3">
      <c r="A3" s="26" t="s">
        <v>28</v>
      </c>
      <c r="B3" s="26"/>
      <c r="C3" s="27"/>
      <c r="D3" s="32">
        <v>50</v>
      </c>
      <c r="E3" s="29" t="s">
        <v>27</v>
      </c>
      <c r="F3" s="33" t="s">
        <v>22</v>
      </c>
    </row>
    <row r="4" spans="1:19" x14ac:dyDescent="0.3">
      <c r="A4" s="26" t="s">
        <v>30</v>
      </c>
      <c r="B4" s="26"/>
      <c r="C4" s="27"/>
      <c r="D4" s="28">
        <v>50</v>
      </c>
      <c r="E4" s="29" t="s">
        <v>61</v>
      </c>
    </row>
    <row r="5" spans="1:19" ht="15.6" x14ac:dyDescent="0.3">
      <c r="A5" s="26" t="s">
        <v>32</v>
      </c>
      <c r="B5" s="26"/>
      <c r="C5" s="27"/>
      <c r="D5" s="32">
        <v>3</v>
      </c>
      <c r="E5" s="29" t="s">
        <v>33</v>
      </c>
      <c r="F5" s="33" t="s">
        <v>22</v>
      </c>
    </row>
    <row r="6" spans="1:19" ht="15.6" x14ac:dyDescent="0.3">
      <c r="A6" s="26" t="s">
        <v>39</v>
      </c>
      <c r="B6" s="26"/>
      <c r="C6" s="27"/>
      <c r="D6" s="34" t="s">
        <v>42</v>
      </c>
      <c r="E6" s="34"/>
      <c r="F6" s="33" t="s">
        <v>22</v>
      </c>
    </row>
    <row r="7" spans="1:19" x14ac:dyDescent="0.3">
      <c r="A7" s="35" t="s">
        <v>53</v>
      </c>
      <c r="B7" s="35"/>
      <c r="C7" s="35"/>
      <c r="D7" s="36"/>
      <c r="E7" s="37"/>
    </row>
    <row r="8" spans="1:19" x14ac:dyDescent="0.3">
      <c r="A8" s="38" t="s">
        <v>34</v>
      </c>
      <c r="B8" s="39"/>
      <c r="C8" s="39"/>
      <c r="D8" s="28">
        <f>D2*D3*0.001</f>
        <v>10</v>
      </c>
      <c r="E8" s="29" t="s">
        <v>29</v>
      </c>
    </row>
    <row r="9" spans="1:19" x14ac:dyDescent="0.3">
      <c r="A9" s="38" t="s">
        <v>35</v>
      </c>
      <c r="B9" s="39"/>
      <c r="C9" s="39"/>
      <c r="D9" s="28">
        <f>D4*D5*365</f>
        <v>54750</v>
      </c>
      <c r="E9" s="29" t="s">
        <v>31</v>
      </c>
    </row>
    <row r="10" spans="1:19" x14ac:dyDescent="0.3">
      <c r="A10" s="38" t="s">
        <v>36</v>
      </c>
      <c r="B10" s="39"/>
      <c r="C10" s="39"/>
      <c r="D10" s="28">
        <f>ROUND((1.16*0.001*D9*40)/0.33,2)</f>
        <v>7698.18</v>
      </c>
      <c r="E10" s="29" t="s">
        <v>3</v>
      </c>
      <c r="Q10" s="40" t="s">
        <v>44</v>
      </c>
      <c r="R10" s="40" t="s">
        <v>45</v>
      </c>
      <c r="S10" s="40" t="s">
        <v>46</v>
      </c>
    </row>
    <row r="11" spans="1:19" x14ac:dyDescent="0.3">
      <c r="A11" s="38" t="s">
        <v>37</v>
      </c>
      <c r="B11" s="39"/>
      <c r="C11" s="39"/>
      <c r="D11" s="28">
        <f>D8*D1</f>
        <v>23000</v>
      </c>
      <c r="E11" s="29" t="s">
        <v>3</v>
      </c>
      <c r="P11" s="40" t="s">
        <v>40</v>
      </c>
    </row>
    <row r="12" spans="1:19" x14ac:dyDescent="0.3">
      <c r="A12" s="58" t="s">
        <v>38</v>
      </c>
      <c r="B12" s="58"/>
      <c r="C12" s="58"/>
      <c r="D12" s="28">
        <f>D10+D11</f>
        <v>30698.18</v>
      </c>
      <c r="E12" s="29" t="s">
        <v>3</v>
      </c>
      <c r="P12" s="40" t="s">
        <v>47</v>
      </c>
      <c r="R12" s="40">
        <v>47.3</v>
      </c>
      <c r="S12" s="40">
        <f>R12*0.27778</f>
        <v>13.138994</v>
      </c>
    </row>
    <row r="13" spans="1:19" x14ac:dyDescent="0.3">
      <c r="A13" s="59"/>
      <c r="B13" s="59"/>
      <c r="C13" s="59"/>
      <c r="D13" s="54"/>
      <c r="E13" s="55"/>
      <c r="P13" s="40" t="s">
        <v>42</v>
      </c>
      <c r="R13" s="40">
        <v>40.4</v>
      </c>
      <c r="S13" s="40">
        <f>R13*0.27778</f>
        <v>11.222312000000001</v>
      </c>
    </row>
    <row r="14" spans="1:19" x14ac:dyDescent="0.3">
      <c r="A14" s="58" t="s">
        <v>48</v>
      </c>
      <c r="B14" s="58"/>
      <c r="C14" s="58"/>
      <c r="D14" s="41">
        <f>IF(D6="energia elektryczna",D12*0.44,(IF(D6="LPG",D12*0.716*10.76/S12,(IF(D6="olej opałowy",D12*0.716*3.84/S13,(IF(D6="gaz ziemny",D12*2.09*0.716/S14,D12*1/S15)))))))</f>
        <v>7520.9817744507545</v>
      </c>
      <c r="E14" s="29" t="s">
        <v>49</v>
      </c>
      <c r="P14" s="40" t="s">
        <v>41</v>
      </c>
      <c r="R14" s="40">
        <v>48</v>
      </c>
      <c r="S14" s="40">
        <f>R14*0.27778</f>
        <v>13.333440000000001</v>
      </c>
    </row>
    <row r="15" spans="1:19" x14ac:dyDescent="0.3">
      <c r="A15" s="58" t="s">
        <v>66</v>
      </c>
      <c r="B15" s="58"/>
      <c r="C15" s="58"/>
      <c r="D15" s="41">
        <f>D12/S15*0.9</f>
        <v>4923.8271044326693</v>
      </c>
      <c r="E15" s="29" t="s">
        <v>49</v>
      </c>
      <c r="P15" s="40" t="s">
        <v>65</v>
      </c>
      <c r="R15" s="40">
        <v>20.2</v>
      </c>
      <c r="S15" s="40">
        <f t="shared" ref="S15" si="0">R15*0.27778</f>
        <v>5.6111560000000003</v>
      </c>
    </row>
    <row r="16" spans="1:19" x14ac:dyDescent="0.3">
      <c r="A16" s="38" t="s">
        <v>52</v>
      </c>
      <c r="B16" s="39"/>
      <c r="C16" s="39"/>
      <c r="D16" s="41">
        <f>D14-D15</f>
        <v>2597.1546700180852</v>
      </c>
      <c r="E16" s="29" t="s">
        <v>49</v>
      </c>
    </row>
    <row r="17" spans="1:5" x14ac:dyDescent="0.3">
      <c r="D17" s="42"/>
      <c r="E17" s="42"/>
    </row>
    <row r="18" spans="1:5" ht="14.4" customHeight="1" x14ac:dyDescent="0.3">
      <c r="A18" s="31" t="s">
        <v>54</v>
      </c>
      <c r="D18" s="43" t="s">
        <v>55</v>
      </c>
      <c r="E18" s="43"/>
    </row>
    <row r="19" spans="1:5" x14ac:dyDescent="0.3">
      <c r="A19" s="44" t="s">
        <v>56</v>
      </c>
      <c r="B19" s="44"/>
      <c r="C19" s="45"/>
      <c r="D19" s="46">
        <f>D8*900</f>
        <v>9000</v>
      </c>
      <c r="E19" s="47">
        <f>D19/D16</f>
        <v>3.4653307729020733</v>
      </c>
    </row>
    <row r="20" spans="1:5" x14ac:dyDescent="0.3">
      <c r="A20" s="44" t="s">
        <v>57</v>
      </c>
      <c r="B20" s="44"/>
      <c r="C20" s="45"/>
      <c r="D20" s="46">
        <f>0.15*D19</f>
        <v>1350</v>
      </c>
      <c r="E20" s="47">
        <f>D20/D16</f>
        <v>0.51979961593531099</v>
      </c>
    </row>
    <row r="21" spans="1:5" x14ac:dyDescent="0.3">
      <c r="D21" s="42"/>
      <c r="E21" s="42"/>
    </row>
    <row r="22" spans="1:5" x14ac:dyDescent="0.3">
      <c r="D22" s="42"/>
      <c r="E22" s="42"/>
    </row>
  </sheetData>
  <sheetProtection sheet="1" objects="1" scenarios="1"/>
  <mergeCells count="19">
    <mergeCell ref="A20:C20"/>
    <mergeCell ref="A13:C13"/>
    <mergeCell ref="A14:C14"/>
    <mergeCell ref="A15:C15"/>
    <mergeCell ref="A16:C16"/>
    <mergeCell ref="D18:E18"/>
    <mergeCell ref="A19:C19"/>
    <mergeCell ref="D6:E6"/>
    <mergeCell ref="A8:C8"/>
    <mergeCell ref="A9:C9"/>
    <mergeCell ref="A10:C10"/>
    <mergeCell ref="A11:C11"/>
    <mergeCell ref="A12:C12"/>
    <mergeCell ref="A6:C6"/>
    <mergeCell ref="A1:C1"/>
    <mergeCell ref="A2:C2"/>
    <mergeCell ref="A3:C3"/>
    <mergeCell ref="A4:C4"/>
    <mergeCell ref="A5:C5"/>
  </mergeCells>
  <dataValidations count="1">
    <dataValidation type="list" allowBlank="1" showInputMessage="1" showErrorMessage="1" sqref="D6">
      <formula1>$P$11:$P$15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PV</vt:lpstr>
      <vt:lpstr>POMPA CIEPŁA</vt:lpstr>
      <vt:lpstr>SOLAR</vt:lpstr>
      <vt:lpstr>KOCIOŁ NA BIOMASĘ</vt:lpstr>
      <vt:lpstr>'KOCIOŁ NA BIOMASĘ'!Obszar_wydruku</vt:lpstr>
      <vt:lpstr>'POMPA CIEPŁA'!Obszar_wydruku</vt:lpstr>
      <vt:lpstr>SOLAR!Obszar_wydruku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Dominika</cp:lastModifiedBy>
  <dcterms:created xsi:type="dcterms:W3CDTF">2017-10-24T15:52:37Z</dcterms:created>
  <dcterms:modified xsi:type="dcterms:W3CDTF">2017-12-11T17:10:10Z</dcterms:modified>
</cp:coreProperties>
</file>